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Board\2019\25 October - conf call\"/>
    </mc:Choice>
  </mc:AlternateContent>
  <bookViews>
    <workbookView xWindow="0" yWindow="50" windowWidth="15600" windowHeight="7190" tabRatio="714"/>
  </bookViews>
  <sheets>
    <sheet name="2019 Budget" sheetId="12" r:id="rId1"/>
    <sheet name="Communication costs 2019 " sheetId="13" r:id="rId2"/>
    <sheet name="Draft 2020 Budget" sheetId="14" r:id="rId3"/>
  </sheets>
  <calcPr calcId="162913"/>
</workbook>
</file>

<file path=xl/calcChain.xml><?xml version="1.0" encoding="utf-8"?>
<calcChain xmlns="http://schemas.openxmlformats.org/spreadsheetml/2006/main">
  <c r="I12" i="12" l="1"/>
  <c r="I10" i="12" l="1"/>
  <c r="I23" i="12"/>
  <c r="B22" i="14" l="1"/>
  <c r="B7" i="14" l="1"/>
  <c r="B10" i="14" s="1"/>
  <c r="C23" i="12" l="1"/>
  <c r="G22" i="12"/>
  <c r="I25" i="12" l="1"/>
  <c r="I29" i="12" s="1"/>
  <c r="B24" i="14"/>
  <c r="B28" i="14" s="1"/>
  <c r="E19" i="12"/>
  <c r="D6" i="13" l="1"/>
  <c r="D23" i="12" l="1"/>
  <c r="E23" i="12"/>
  <c r="D22" i="13"/>
  <c r="D12" i="13"/>
  <c r="D24" i="13" l="1"/>
  <c r="E12" i="12"/>
  <c r="E10" i="12" l="1"/>
  <c r="E25" i="12" l="1"/>
  <c r="E29" i="12" s="1"/>
  <c r="B7" i="12"/>
  <c r="D14" i="12" l="1"/>
  <c r="C18" i="12" l="1"/>
  <c r="D19" i="12"/>
  <c r="D12" i="12" l="1"/>
  <c r="D10" i="12" l="1"/>
  <c r="G15" i="12" l="1"/>
  <c r="G13" i="12"/>
  <c r="G14" i="12"/>
  <c r="G16" i="12"/>
  <c r="G17" i="12"/>
  <c r="G19" i="12"/>
  <c r="G20" i="12"/>
  <c r="G21" i="12"/>
  <c r="G6" i="12"/>
  <c r="H6" i="12" s="1"/>
  <c r="G7" i="12"/>
  <c r="G8" i="12"/>
  <c r="G5" i="12"/>
  <c r="G10" i="12" l="1"/>
  <c r="H10" i="12" s="1"/>
  <c r="G18" i="12"/>
  <c r="H13" i="12" l="1"/>
  <c r="H14" i="12"/>
  <c r="H16" i="12"/>
  <c r="H17" i="12"/>
  <c r="H18" i="12"/>
  <c r="H15" i="12"/>
  <c r="H19" i="12"/>
  <c r="H20" i="12"/>
  <c r="H21" i="12"/>
  <c r="H7" i="12"/>
  <c r="C12" i="12"/>
  <c r="G12" i="12" s="1"/>
  <c r="G23" i="12" s="1"/>
  <c r="H5" i="12"/>
  <c r="G25" i="12" l="1"/>
  <c r="G29" i="12" s="1"/>
  <c r="H12" i="12"/>
  <c r="C10" i="12"/>
  <c r="C25" i="12" l="1"/>
  <c r="C29" i="12" s="1"/>
  <c r="B23" i="12"/>
  <c r="H23" i="12" s="1"/>
  <c r="B10" i="12" l="1"/>
  <c r="B25" i="12" l="1"/>
  <c r="B29" i="12" s="1"/>
  <c r="D25" i="12"/>
  <c r="D29" i="12" s="1"/>
</calcChain>
</file>

<file path=xl/comments1.xml><?xml version="1.0" encoding="utf-8"?>
<comments xmlns="http://schemas.openxmlformats.org/spreadsheetml/2006/main">
  <authors>
    <author>Guns, Veerle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76 395: Kellen 
  2 000: Accounting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4" authorId="0" shapeId="0">
      <text>
        <r>
          <rPr>
            <sz val="9"/>
            <color indexed="81"/>
            <rFont val="Tahoma"/>
            <family val="2"/>
          </rPr>
          <t>102:   Cofee &amp; Bacon: graphic design header for Linked In</t>
        </r>
      </text>
    </comment>
    <comment ref="D14" authorId="0" shapeId="0">
      <text>
        <r>
          <rPr>
            <sz val="9"/>
            <color indexed="81"/>
            <rFont val="Tahoma"/>
            <family val="2"/>
          </rPr>
          <t xml:space="preserve">  
1 998:     Painting Pixels video appliances 
   600:     Alias Redesign homepage (display of news &amp; publications) 
   785:     Alias SEO html improvements 
     50:    Coffee &amp; Bacon, Graphic design Web banner</t>
        </r>
      </text>
    </comment>
    <comment ref="E14" authorId="0" shapeId="0">
      <text>
        <r>
          <rPr>
            <sz val="9"/>
            <color indexed="81"/>
            <rFont val="Tahoma"/>
            <family val="2"/>
          </rPr>
          <t xml:space="preserve">302:    Coffee &amp; Bacon: Graphic design logo Dusseldorf conference 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1) 489, 75 - 67,20 : Expenses Board mtg Leeds
2) 698,69:  Tax declaration costs 2017 
3) 221, 95: Printing VIPA Flyers for 2018 Conference in Vienna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 shapeId="0">
      <text>
        <r>
          <rPr>
            <b/>
            <sz val="9"/>
            <color indexed="81"/>
            <rFont val="Tahoma"/>
            <charset val="1"/>
          </rPr>
          <t>1) € 1 102,18: Board meeting Leeds: board dinner, Hotel VIPA staff, public transport,... 
2) €    322,00: registration IVIS Raquel</t>
        </r>
        <r>
          <rPr>
            <sz val="9"/>
            <color indexed="81"/>
            <rFont val="Tahoma"/>
            <charset val="1"/>
          </rPr>
          <t xml:space="preserve">
3</t>
        </r>
        <r>
          <rPr>
            <b/>
            <sz val="9"/>
            <color indexed="81"/>
            <rFont val="Tahoma"/>
            <family val="2"/>
          </rPr>
          <t>)  €  15,61: conf calls March 2019 
4)  €  52,93: Printing costs Kellen Accounting  
5)  €  21,90: VIPA Annual report registration in USA (2018)</t>
        </r>
      </text>
    </comment>
    <comment ref="E18" authorId="0" shapeId="0">
      <text>
        <r>
          <rPr>
            <b/>
            <sz val="9"/>
            <color indexed="81"/>
            <rFont val="Tahoma"/>
            <charset val="1"/>
          </rPr>
          <t>1) €     291,88: incorporation VIPA in USA 
2) € 1 131,62: flight ticket to Japan Raquel (IVIS/GA)
3) €     421,08: annual subsription conference calls (go to meeting) 
4) €        21,05: Conf Call May 2019
5)  €         2,42: copy costs Kellen Accounting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 xml:space="preserve">74,59: bank fees
12,85: exchange rate variance
8,45: exchange rate variance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<sst xmlns="http://schemas.openxmlformats.org/spreadsheetml/2006/main" count="101" uniqueCount="78">
  <si>
    <t xml:space="preserve">RESULT </t>
  </si>
  <si>
    <t>TOTAL EXPENDITURE</t>
  </si>
  <si>
    <t>Legal advice</t>
  </si>
  <si>
    <t>Participation at CEN</t>
  </si>
  <si>
    <t>Bank fees</t>
  </si>
  <si>
    <t>Website annual hosting fee (Alias)</t>
  </si>
  <si>
    <t xml:space="preserve">Kellen fees </t>
  </si>
  <si>
    <t>Expenditure</t>
  </si>
  <si>
    <t>TOTAL INCOME</t>
  </si>
  <si>
    <t xml:space="preserve">Income </t>
  </si>
  <si>
    <t>ITEM</t>
  </si>
  <si>
    <t>GSH agreement annual fee</t>
  </si>
  <si>
    <t>Membership fees associate members (1): 5,000 EUR</t>
  </si>
  <si>
    <t xml:space="preserve">Expected end result </t>
  </si>
  <si>
    <t>Reserve (funds not used in previous years)</t>
  </si>
  <si>
    <t>Out of pocket costs (meetings/conf calls &amp; travel expenses)</t>
  </si>
  <si>
    <t>Membership fees association members (0): 500 EUR</t>
  </si>
  <si>
    <t>IVIS 2019 Sponsorship</t>
  </si>
  <si>
    <t>Communications (website support, design, video, etc)</t>
  </si>
  <si>
    <t>Membership fees full members (12): 10,000 EUR</t>
  </si>
  <si>
    <t>Q1</t>
  </si>
  <si>
    <t>Q2</t>
  </si>
  <si>
    <t>Q3</t>
  </si>
  <si>
    <t>Q4</t>
  </si>
  <si>
    <t>%</t>
  </si>
  <si>
    <t xml:space="preserve">Total </t>
  </si>
  <si>
    <t>Coffee &amp; bacon</t>
  </si>
  <si>
    <t>Supplier</t>
  </si>
  <si>
    <t>Cost (€)</t>
  </si>
  <si>
    <t>Avery Dennison Hanita Study (10% of total amount 12,500€)</t>
  </si>
  <si>
    <t>Membership fees academia (6): 500 EUR</t>
  </si>
  <si>
    <t xml:space="preserve">Painting Pixels </t>
  </si>
  <si>
    <t xml:space="preserve">Alias </t>
  </si>
  <si>
    <t xml:space="preserve">SEO html Improvements </t>
  </si>
  <si>
    <t xml:space="preserve">Graphic design of web banner </t>
  </si>
  <si>
    <t xml:space="preserve">Redesign VIPA homepage </t>
  </si>
  <si>
    <t>2D Explainer Animation for VIP use in appliances (direct billing)</t>
  </si>
  <si>
    <t>3500RMB</t>
  </si>
  <si>
    <t xml:space="preserve">Re-design IVIS flyer </t>
  </si>
  <si>
    <t>Printing company</t>
  </si>
  <si>
    <t xml:space="preserve">Communication costs </t>
  </si>
  <si>
    <t>Total communications expenses 2019</t>
  </si>
  <si>
    <t>July</t>
  </si>
  <si>
    <t xml:space="preserve">Coffee &amp; Bacon </t>
  </si>
  <si>
    <t xml:space="preserve">* 5,000€ + exchange rate </t>
  </si>
  <si>
    <t>5/9 to 12/9</t>
  </si>
  <si>
    <t>Painting Pixels</t>
  </si>
  <si>
    <t>new video on logistics</t>
  </si>
  <si>
    <t xml:space="preserve">Estimated costs 1 Sept to 31 Dec </t>
  </si>
  <si>
    <t>LinkedIn Ad campaign</t>
  </si>
  <si>
    <t>Kellen China</t>
  </si>
  <si>
    <t xml:space="preserve">Youku page creation and adding appliances video </t>
  </si>
  <si>
    <t>Printing company Japan</t>
  </si>
  <si>
    <t>Printing IVIS roll-up banner &amp; flyer in Japan</t>
  </si>
  <si>
    <t>Total communication expenses until 1 Sept 2019</t>
  </si>
  <si>
    <t xml:space="preserve">Total estimated COM costs 1 Sept to 31 Dec </t>
  </si>
  <si>
    <t xml:space="preserve">Printing 2019 annual report </t>
  </si>
  <si>
    <t>Year-end estimation</t>
  </si>
  <si>
    <t>Conference in Düsseldorf Jan 2020</t>
  </si>
  <si>
    <t xml:space="preserve">Costs (€) </t>
  </si>
  <si>
    <t>Graphic design logo for Düsseldorf conference 2020</t>
  </si>
  <si>
    <t>Design banners linkedin header</t>
  </si>
  <si>
    <t>VIPA International 2020 Draft Budget</t>
  </si>
  <si>
    <t xml:space="preserve">VIPA International Budget 2019 </t>
  </si>
  <si>
    <t>Avery Dennison Hanita Study (90% of total amount 12,500€)</t>
  </si>
  <si>
    <t>Membership fees academia (6): 750 EUR</t>
  </si>
  <si>
    <t>Outreach to architects (fairs, events, magazines, sponsorship)</t>
  </si>
  <si>
    <t>*15% of operating budget should be kept in reserves (20k)</t>
  </si>
  <si>
    <t xml:space="preserve">COM/R&amp;D? </t>
  </si>
  <si>
    <t xml:space="preserve">* membership of Siltherm and Kevothermal expected but not confirmed </t>
  </si>
  <si>
    <t>*provided no changes in n° of VIPA Intl members wanting to join the GSH</t>
  </si>
  <si>
    <t xml:space="preserve">*still to be discussed </t>
  </si>
  <si>
    <t>€</t>
  </si>
  <si>
    <t xml:space="preserve">*GSH did not take into account Creek's membership </t>
  </si>
  <si>
    <t>*extra fees still to be discussed</t>
  </si>
  <si>
    <t>* still to be discussed</t>
  </si>
  <si>
    <t>*see estimate next tab</t>
  </si>
  <si>
    <t xml:space="preserve">*conference cancelled but Kellen spent time arranging logistics &amp; discussing format &amp; speakers with members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</si>
</sst>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  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5" xfId="0" applyFont="1" applyBorder="1" applyAlignment="1">
      <alignment vertical="top"/>
    </xf>
    <xf numFmtId="164" fontId="3" fillId="0" borderId="6" xfId="1" applyNumberFormat="1" applyFont="1" applyBorder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2" fillId="2" borderId="4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3" borderId="4" xfId="0" applyFont="1" applyFill="1" applyBorder="1"/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distributed" vertical="center"/>
    </xf>
    <xf numFmtId="164" fontId="2" fillId="0" borderId="6" xfId="1" applyNumberFormat="1" applyFont="1" applyBorder="1" applyAlignment="1">
      <alignment vertical="top"/>
    </xf>
    <xf numFmtId="164" fontId="2" fillId="2" borderId="3" xfId="1" applyNumberFormat="1" applyFont="1" applyFill="1" applyBorder="1" applyAlignment="1">
      <alignment horizontal="right" vertical="top"/>
    </xf>
    <xf numFmtId="164" fontId="3" fillId="0" borderId="6" xfId="1" applyNumberFormat="1" applyFont="1" applyBorder="1" applyAlignment="1">
      <alignment vertical="top"/>
    </xf>
    <xf numFmtId="164" fontId="3" fillId="0" borderId="4" xfId="1" applyNumberFormat="1" applyFont="1" applyFill="1" applyBorder="1" applyAlignment="1">
      <alignment horizontal="right" vertical="top"/>
    </xf>
    <xf numFmtId="0" fontId="3" fillId="0" borderId="5" xfId="0" applyFont="1" applyBorder="1"/>
    <xf numFmtId="164" fontId="3" fillId="0" borderId="4" xfId="1" applyNumberFormat="1" applyFont="1" applyBorder="1"/>
    <xf numFmtId="164" fontId="2" fillId="4" borderId="4" xfId="1" applyNumberFormat="1" applyFont="1" applyFill="1" applyBorder="1"/>
    <xf numFmtId="164" fontId="3" fillId="0" borderId="6" xfId="1" applyNumberFormat="1" applyFont="1" applyFill="1" applyBorder="1" applyAlignment="1">
      <alignment horizontal="right" vertical="top"/>
    </xf>
    <xf numFmtId="164" fontId="3" fillId="0" borderId="6" xfId="1" applyNumberFormat="1" applyFont="1" applyFill="1" applyBorder="1" applyAlignment="1">
      <alignment vertical="top"/>
    </xf>
    <xf numFmtId="0" fontId="0" fillId="0" borderId="0" xfId="0" applyFont="1"/>
    <xf numFmtId="0" fontId="0" fillId="0" borderId="0" xfId="0" applyFont="1" applyBorder="1"/>
    <xf numFmtId="0" fontId="3" fillId="0" borderId="0" xfId="0" applyFont="1"/>
    <xf numFmtId="3" fontId="3" fillId="0" borderId="0" xfId="0" applyNumberFormat="1" applyFont="1" applyBorder="1"/>
    <xf numFmtId="0" fontId="7" fillId="0" borderId="0" xfId="0" applyFont="1"/>
    <xf numFmtId="0" fontId="0" fillId="0" borderId="3" xfId="0" applyBorder="1"/>
    <xf numFmtId="0" fontId="9" fillId="0" borderId="5" xfId="0" applyFont="1" applyFill="1" applyBorder="1" applyAlignment="1">
      <alignment vertical="top"/>
    </xf>
    <xf numFmtId="164" fontId="9" fillId="0" borderId="6" xfId="1" applyNumberFormat="1" applyFont="1" applyFill="1" applyBorder="1" applyAlignment="1">
      <alignment vertical="top"/>
    </xf>
    <xf numFmtId="3" fontId="9" fillId="0" borderId="0" xfId="0" applyNumberFormat="1" applyFont="1" applyFill="1" applyBorder="1"/>
    <xf numFmtId="0" fontId="9" fillId="0" borderId="0" xfId="0" applyFont="1" applyFill="1"/>
    <xf numFmtId="0" fontId="9" fillId="0" borderId="5" xfId="0" applyFont="1" applyFill="1" applyBorder="1"/>
    <xf numFmtId="164" fontId="9" fillId="0" borderId="6" xfId="1" applyNumberFormat="1" applyFont="1" applyFill="1" applyBorder="1"/>
    <xf numFmtId="164" fontId="9" fillId="0" borderId="6" xfId="1" applyNumberFormat="1" applyFont="1" applyFill="1" applyBorder="1" applyAlignment="1">
      <alignment horizontal="right" vertical="top"/>
    </xf>
    <xf numFmtId="164" fontId="2" fillId="3" borderId="1" xfId="1" applyNumberFormat="1" applyFont="1" applyFill="1" applyBorder="1" applyAlignment="1">
      <alignment horizontal="right" vertical="top"/>
    </xf>
    <xf numFmtId="0" fontId="0" fillId="0" borderId="8" xfId="0" applyFont="1" applyBorder="1"/>
    <xf numFmtId="164" fontId="3" fillId="0" borderId="5" xfId="0" applyNumberFormat="1" applyFont="1" applyBorder="1"/>
    <xf numFmtId="0" fontId="0" fillId="0" borderId="5" xfId="0" applyFont="1" applyBorder="1"/>
    <xf numFmtId="164" fontId="2" fillId="2" borderId="4" xfId="1" applyNumberFormat="1" applyFont="1" applyFill="1" applyBorder="1" applyAlignment="1">
      <alignment horizontal="distributed" vertical="center"/>
    </xf>
    <xf numFmtId="3" fontId="3" fillId="0" borderId="5" xfId="0" applyNumberFormat="1" applyFont="1" applyBorder="1"/>
    <xf numFmtId="164" fontId="2" fillId="2" borderId="4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right" vertical="top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distributed" vertical="center"/>
    </xf>
    <xf numFmtId="164" fontId="2" fillId="4" borderId="7" xfId="1" applyNumberFormat="1" applyFont="1" applyFill="1" applyBorder="1"/>
    <xf numFmtId="9" fontId="3" fillId="0" borderId="5" xfId="0" applyNumberFormat="1" applyFont="1" applyBorder="1"/>
    <xf numFmtId="9" fontId="9" fillId="0" borderId="5" xfId="0" applyNumberFormat="1" applyFont="1" applyFill="1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165" fontId="13" fillId="0" borderId="5" xfId="1" applyNumberFormat="1" applyFont="1" applyBorder="1"/>
    <xf numFmtId="3" fontId="13" fillId="0" borderId="5" xfId="0" applyNumberFormat="1" applyFont="1" applyBorder="1"/>
    <xf numFmtId="0" fontId="0" fillId="0" borderId="5" xfId="0" applyFill="1" applyBorder="1"/>
    <xf numFmtId="0" fontId="4" fillId="0" borderId="0" xfId="0" applyFont="1" applyFill="1" applyBorder="1"/>
    <xf numFmtId="0" fontId="4" fillId="0" borderId="6" xfId="0" applyFont="1" applyFill="1" applyBorder="1"/>
    <xf numFmtId="0" fontId="0" fillId="0" borderId="0" xfId="0" applyFill="1"/>
    <xf numFmtId="0" fontId="0" fillId="0" borderId="0" xfId="0" applyFont="1" applyFill="1" applyBorder="1"/>
    <xf numFmtId="0" fontId="0" fillId="0" borderId="0" xfId="0" applyFill="1" applyBorder="1"/>
    <xf numFmtId="0" fontId="0" fillId="0" borderId="6" xfId="0" applyFill="1" applyBorder="1"/>
    <xf numFmtId="0" fontId="10" fillId="0" borderId="0" xfId="0" applyFont="1" applyFill="1" applyBorder="1"/>
    <xf numFmtId="0" fontId="10" fillId="0" borderId="6" xfId="0" applyFont="1" applyFill="1" applyBorder="1"/>
    <xf numFmtId="0" fontId="8" fillId="0" borderId="6" xfId="0" applyFont="1" applyFill="1" applyBorder="1"/>
    <xf numFmtId="0" fontId="11" fillId="0" borderId="0" xfId="0" applyFont="1" applyFill="1" applyAlignment="1">
      <alignment vertical="center"/>
    </xf>
    <xf numFmtId="0" fontId="0" fillId="0" borderId="0" xfId="0" quotePrefix="1" applyFont="1" applyBorder="1"/>
    <xf numFmtId="0" fontId="12" fillId="0" borderId="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0" borderId="2" xfId="0" applyBorder="1"/>
    <xf numFmtId="0" fontId="0" fillId="0" borderId="1" xfId="0" applyFont="1" applyFill="1" applyBorder="1"/>
    <xf numFmtId="0" fontId="0" fillId="0" borderId="7" xfId="0" applyBorder="1"/>
    <xf numFmtId="164" fontId="4" fillId="5" borderId="3" xfId="1" applyNumberFormat="1" applyFont="1" applyFill="1" applyBorder="1"/>
    <xf numFmtId="0" fontId="3" fillId="0" borderId="6" xfId="0" applyFont="1" applyBorder="1"/>
    <xf numFmtId="2" fontId="0" fillId="0" borderId="6" xfId="0" applyNumberFormat="1" applyFont="1" applyBorder="1"/>
    <xf numFmtId="2" fontId="0" fillId="0" borderId="0" xfId="0" applyNumberFormat="1" applyFont="1"/>
    <xf numFmtId="164" fontId="3" fillId="0" borderId="6" xfId="1" applyNumberFormat="1" applyFont="1" applyBorder="1"/>
    <xf numFmtId="2" fontId="2" fillId="2" borderId="4" xfId="1" applyNumberFormat="1" applyFont="1" applyFill="1" applyBorder="1" applyAlignment="1">
      <alignment horizontal="distributed" vertical="center"/>
    </xf>
    <xf numFmtId="2" fontId="2" fillId="2" borderId="4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right" vertical="center"/>
    </xf>
    <xf numFmtId="9" fontId="2" fillId="2" borderId="4" xfId="0" applyNumberFormat="1" applyFont="1" applyFill="1" applyBorder="1"/>
    <xf numFmtId="164" fontId="0" fillId="0" borderId="6" xfId="1" applyNumberFormat="1" applyFont="1" applyBorder="1"/>
    <xf numFmtId="164" fontId="3" fillId="0" borderId="5" xfId="1" applyNumberFormat="1" applyFont="1" applyBorder="1"/>
    <xf numFmtId="164" fontId="9" fillId="0" borderId="5" xfId="1" applyNumberFormat="1" applyFont="1" applyFill="1" applyBorder="1"/>
    <xf numFmtId="0" fontId="0" fillId="0" borderId="9" xfId="0" applyFont="1" applyBorder="1"/>
    <xf numFmtId="164" fontId="2" fillId="2" borderId="3" xfId="1" applyNumberFormat="1" applyFont="1" applyFill="1" applyBorder="1" applyAlignment="1">
      <alignment horizontal="center" vertical="center"/>
    </xf>
    <xf numFmtId="164" fontId="12" fillId="5" borderId="4" xfId="1" applyNumberFormat="1" applyFont="1" applyFill="1" applyBorder="1" applyAlignment="1">
      <alignment horizontal="left"/>
    </xf>
    <xf numFmtId="0" fontId="0" fillId="2" borderId="1" xfId="0" applyFill="1" applyBorder="1"/>
    <xf numFmtId="0" fontId="4" fillId="2" borderId="7" xfId="0" applyFont="1" applyFill="1" applyBorder="1"/>
    <xf numFmtId="0" fontId="4" fillId="2" borderId="3" xfId="0" applyFont="1" applyFill="1" applyBorder="1"/>
    <xf numFmtId="164" fontId="3" fillId="0" borderId="9" xfId="1" applyNumberFormat="1" applyFont="1" applyBorder="1"/>
    <xf numFmtId="164" fontId="3" fillId="0" borderId="5" xfId="1" applyNumberFormat="1" applyFont="1" applyBorder="1" applyAlignment="1">
      <alignment vertical="top"/>
    </xf>
    <xf numFmtId="43" fontId="3" fillId="0" borderId="5" xfId="1" applyFont="1" applyBorder="1"/>
    <xf numFmtId="43" fontId="0" fillId="0" borderId="5" xfId="1" applyFont="1" applyBorder="1"/>
    <xf numFmtId="43" fontId="2" fillId="2" borderId="4" xfId="1" applyFont="1" applyFill="1" applyBorder="1" applyAlignment="1">
      <alignment horizontal="distributed" vertical="center"/>
    </xf>
    <xf numFmtId="43" fontId="9" fillId="0" borderId="5" xfId="1" applyFont="1" applyFill="1" applyBorder="1"/>
    <xf numFmtId="43" fontId="3" fillId="0" borderId="5" xfId="1" applyFont="1" applyFill="1" applyBorder="1"/>
    <xf numFmtId="43" fontId="3" fillId="0" borderId="5" xfId="1" applyNumberFormat="1" applyFont="1" applyBorder="1"/>
    <xf numFmtId="43" fontId="0" fillId="0" borderId="5" xfId="1" applyNumberFormat="1" applyFont="1" applyBorder="1"/>
    <xf numFmtId="43" fontId="2" fillId="2" borderId="4" xfId="1" applyNumberFormat="1" applyFont="1" applyFill="1" applyBorder="1" applyAlignment="1">
      <alignment horizontal="distributed" vertical="center"/>
    </xf>
    <xf numFmtId="43" fontId="9" fillId="0" borderId="5" xfId="1" applyNumberFormat="1" applyFont="1" applyFill="1" applyBorder="1"/>
    <xf numFmtId="43" fontId="3" fillId="0" borderId="5" xfId="1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2" fillId="5" borderId="1" xfId="0" applyFont="1" applyFill="1" applyBorder="1" applyAlignment="1">
      <alignment horizontal="left"/>
    </xf>
    <xf numFmtId="0" fontId="12" fillId="5" borderId="7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topLeftCell="A10" zoomScale="90" zoomScaleNormal="90" workbookViewId="0">
      <selection activeCell="J24" sqref="J24"/>
    </sheetView>
  </sheetViews>
  <sheetFormatPr defaultColWidth="8.7265625" defaultRowHeight="14.5"/>
  <cols>
    <col min="1" max="1" width="55.26953125" style="22" customWidth="1"/>
    <col min="2" max="2" width="12.453125" style="22" customWidth="1"/>
    <col min="3" max="3" width="11.54296875" style="22" customWidth="1"/>
    <col min="4" max="4" width="13.7265625" style="22" customWidth="1"/>
    <col min="5" max="5" width="11.26953125" style="22" bestFit="1" customWidth="1"/>
    <col min="6" max="6" width="13.08984375" style="22" customWidth="1"/>
    <col min="7" max="7" width="10.7265625" style="22" customWidth="1"/>
    <col min="8" max="8" width="8.26953125" style="22" customWidth="1"/>
    <col min="9" max="9" width="20.6328125" style="73" customWidth="1"/>
    <col min="10" max="10" width="27.453125" style="22" customWidth="1"/>
    <col min="11" max="16384" width="8.7265625" style="22"/>
  </cols>
  <sheetData>
    <row r="1" spans="1:10" ht="19.149999999999999" customHeight="1" thickBot="1">
      <c r="A1" s="100" t="s">
        <v>63</v>
      </c>
      <c r="B1" s="101"/>
      <c r="C1" s="41" t="s">
        <v>20</v>
      </c>
      <c r="D1" s="41" t="s">
        <v>21</v>
      </c>
      <c r="E1" s="41" t="s">
        <v>22</v>
      </c>
      <c r="F1" s="41" t="s">
        <v>23</v>
      </c>
      <c r="G1" s="43" t="s">
        <v>25</v>
      </c>
      <c r="H1" s="41" t="s">
        <v>24</v>
      </c>
      <c r="I1" s="76" t="s">
        <v>57</v>
      </c>
    </row>
    <row r="2" spans="1:10" ht="15" thickBot="1">
      <c r="A2" s="102"/>
      <c r="B2" s="103"/>
      <c r="C2" s="38"/>
      <c r="D2" s="38"/>
      <c r="E2" s="38"/>
      <c r="F2" s="38"/>
      <c r="G2" s="23"/>
      <c r="H2" s="38"/>
      <c r="I2" s="72"/>
    </row>
    <row r="3" spans="1:10" ht="15" thickBot="1">
      <c r="A3" s="11" t="s">
        <v>10</v>
      </c>
      <c r="B3" s="83" t="s">
        <v>59</v>
      </c>
      <c r="C3" s="39"/>
      <c r="D3" s="39"/>
      <c r="E3" s="39"/>
      <c r="F3" s="39"/>
      <c r="G3" s="44"/>
      <c r="H3" s="39"/>
      <c r="I3" s="75"/>
    </row>
    <row r="4" spans="1:10">
      <c r="A4" s="1" t="s">
        <v>9</v>
      </c>
      <c r="B4" s="13"/>
      <c r="C4" s="36"/>
      <c r="D4" s="36"/>
      <c r="E4" s="38"/>
      <c r="F4" s="38"/>
      <c r="G4" s="23"/>
      <c r="H4" s="38"/>
      <c r="I4" s="72"/>
    </row>
    <row r="5" spans="1:10">
      <c r="A5" s="3" t="s">
        <v>19</v>
      </c>
      <c r="B5" s="2">
        <v>120000</v>
      </c>
      <c r="C5" s="37">
        <v>10000</v>
      </c>
      <c r="D5" s="37">
        <v>90000</v>
      </c>
      <c r="E5" s="37">
        <v>20000</v>
      </c>
      <c r="F5" s="95">
        <v>0</v>
      </c>
      <c r="G5" s="25">
        <f>SUM(C5:F5)</f>
        <v>120000</v>
      </c>
      <c r="H5" s="46">
        <f>SUM(G5)/B5</f>
        <v>1</v>
      </c>
      <c r="I5" s="74">
        <v>120000</v>
      </c>
    </row>
    <row r="6" spans="1:10">
      <c r="A6" s="3" t="s">
        <v>12</v>
      </c>
      <c r="B6" s="2">
        <v>5000</v>
      </c>
      <c r="C6" s="17">
        <v>0</v>
      </c>
      <c r="D6" s="17">
        <v>0</v>
      </c>
      <c r="E6" s="51">
        <v>5000</v>
      </c>
      <c r="F6" s="95">
        <v>0</v>
      </c>
      <c r="G6" s="25">
        <f t="shared" ref="G6:G8" si="0">SUM(C6:F6)</f>
        <v>5000</v>
      </c>
      <c r="H6" s="46">
        <f>SUM(G6)/B6</f>
        <v>1</v>
      </c>
      <c r="I6" s="74">
        <v>5000</v>
      </c>
    </row>
    <row r="7" spans="1:10">
      <c r="A7" s="3" t="s">
        <v>30</v>
      </c>
      <c r="B7" s="2">
        <f>SUM(500*6)</f>
        <v>3000</v>
      </c>
      <c r="C7" s="38">
        <v>0</v>
      </c>
      <c r="D7" s="40">
        <v>1500</v>
      </c>
      <c r="E7" s="51">
        <v>1500</v>
      </c>
      <c r="F7" s="95">
        <v>0</v>
      </c>
      <c r="G7" s="25">
        <f t="shared" si="0"/>
        <v>3000</v>
      </c>
      <c r="H7" s="46">
        <f>SUM(G7)/B7</f>
        <v>1</v>
      </c>
      <c r="I7" s="74">
        <v>3000</v>
      </c>
      <c r="J7" s="24"/>
    </row>
    <row r="8" spans="1:10">
      <c r="A8" s="3" t="s">
        <v>16</v>
      </c>
      <c r="B8" s="2">
        <v>0</v>
      </c>
      <c r="C8" s="38">
        <v>0</v>
      </c>
      <c r="D8" s="52">
        <v>0</v>
      </c>
      <c r="E8" s="38">
        <v>0</v>
      </c>
      <c r="F8" s="95">
        <v>0</v>
      </c>
      <c r="G8" s="25">
        <f t="shared" si="0"/>
        <v>0</v>
      </c>
      <c r="H8" s="46"/>
      <c r="I8" s="74"/>
    </row>
    <row r="9" spans="1:10" ht="15" thickBot="1">
      <c r="A9" s="4"/>
      <c r="B9" s="2"/>
      <c r="C9" s="38"/>
      <c r="D9" s="38"/>
      <c r="E9" s="38"/>
      <c r="F9" s="96"/>
      <c r="G9" s="23"/>
      <c r="H9" s="46"/>
      <c r="I9" s="79"/>
      <c r="J9" s="26"/>
    </row>
    <row r="10" spans="1:10" ht="15" thickBot="1">
      <c r="A10" s="5" t="s">
        <v>8</v>
      </c>
      <c r="B10" s="14">
        <f>SUM(B5:B9)</f>
        <v>128000</v>
      </c>
      <c r="C10" s="39">
        <f>SUM(C5:C9)</f>
        <v>10000</v>
      </c>
      <c r="D10" s="39">
        <f>SUM(D5:D8)</f>
        <v>91500</v>
      </c>
      <c r="E10" s="39">
        <f>SUM(E5:E9)</f>
        <v>26500</v>
      </c>
      <c r="F10" s="97"/>
      <c r="G10" s="44">
        <f>SUM(G5:G9)</f>
        <v>128000</v>
      </c>
      <c r="H10" s="78">
        <f t="shared" ref="H10" si="1">SUM(G10)/B10</f>
        <v>1</v>
      </c>
      <c r="I10" s="77">
        <f>SUM(I5:I9)</f>
        <v>128000</v>
      </c>
    </row>
    <row r="11" spans="1:10">
      <c r="A11" s="1" t="s">
        <v>7</v>
      </c>
      <c r="B11" s="2"/>
      <c r="C11" s="91"/>
      <c r="D11" s="38"/>
      <c r="E11" s="96"/>
      <c r="F11" s="96"/>
      <c r="G11" s="23"/>
      <c r="H11" s="38"/>
      <c r="I11" s="79"/>
    </row>
    <row r="12" spans="1:10" s="24" customFormat="1" ht="14">
      <c r="A12" s="3" t="s">
        <v>6</v>
      </c>
      <c r="B12" s="15">
        <v>78395</v>
      </c>
      <c r="C12" s="90">
        <f>SUM(B12)/4</f>
        <v>19598.75</v>
      </c>
      <c r="D12" s="95">
        <f>SUM(B12)/4</f>
        <v>19598.75</v>
      </c>
      <c r="E12" s="95">
        <f>SUM(B12)/4</f>
        <v>19598.75</v>
      </c>
      <c r="F12" s="95">
        <v>19598.75</v>
      </c>
      <c r="G12" s="25">
        <f>SUM(C12:F12)</f>
        <v>78395</v>
      </c>
      <c r="H12" s="46">
        <f>SUM(G12)/B12</f>
        <v>1</v>
      </c>
      <c r="I12" s="80">
        <f>78395+2665</f>
        <v>81060</v>
      </c>
      <c r="J12" s="24" t="s">
        <v>74</v>
      </c>
    </row>
    <row r="13" spans="1:10" s="24" customFormat="1" ht="14">
      <c r="A13" s="3" t="s">
        <v>11</v>
      </c>
      <c r="B13" s="20">
        <v>18516</v>
      </c>
      <c r="C13" s="90">
        <v>0</v>
      </c>
      <c r="D13" s="95">
        <v>0</v>
      </c>
      <c r="E13" s="95">
        <v>16268.5</v>
      </c>
      <c r="F13" s="95">
        <v>0</v>
      </c>
      <c r="G13" s="25">
        <f t="shared" ref="G13:G20" si="2">SUM(C13:F13)</f>
        <v>16268.5</v>
      </c>
      <c r="H13" s="46">
        <f t="shared" ref="H13:H23" si="3">SUM(G13)/B13</f>
        <v>0.8786184921149276</v>
      </c>
      <c r="I13" s="80">
        <v>16269</v>
      </c>
      <c r="J13" s="24" t="s">
        <v>73</v>
      </c>
    </row>
    <row r="14" spans="1:10" s="31" customFormat="1" ht="14">
      <c r="A14" s="28" t="s">
        <v>18</v>
      </c>
      <c r="B14" s="29">
        <v>12000</v>
      </c>
      <c r="C14" s="93">
        <v>102</v>
      </c>
      <c r="D14" s="98">
        <f>1998+600+750+35+50</f>
        <v>3433</v>
      </c>
      <c r="E14" s="98">
        <v>302</v>
      </c>
      <c r="F14" s="98"/>
      <c r="G14" s="30">
        <f t="shared" si="2"/>
        <v>3837</v>
      </c>
      <c r="H14" s="47">
        <f t="shared" si="3"/>
        <v>0.31974999999999998</v>
      </c>
      <c r="I14" s="81">
        <v>7000</v>
      </c>
      <c r="J14" s="31" t="s">
        <v>76</v>
      </c>
    </row>
    <row r="15" spans="1:10" s="24" customFormat="1" ht="14">
      <c r="A15" s="6" t="s">
        <v>5</v>
      </c>
      <c r="B15" s="21">
        <v>400</v>
      </c>
      <c r="C15" s="94">
        <v>400</v>
      </c>
      <c r="D15" s="95">
        <v>0</v>
      </c>
      <c r="E15" s="95">
        <v>0</v>
      </c>
      <c r="F15" s="99">
        <v>0</v>
      </c>
      <c r="G15" s="25">
        <f>SUM(C15:F15)</f>
        <v>400</v>
      </c>
      <c r="H15" s="46">
        <f>SUM(G15)/B15</f>
        <v>1</v>
      </c>
      <c r="I15" s="74">
        <v>400</v>
      </c>
    </row>
    <row r="16" spans="1:10" s="31" customFormat="1" ht="14">
      <c r="A16" s="32" t="s">
        <v>17</v>
      </c>
      <c r="B16" s="33">
        <v>6250</v>
      </c>
      <c r="C16" s="93">
        <v>0</v>
      </c>
      <c r="D16" s="98">
        <v>0</v>
      </c>
      <c r="E16" s="98">
        <v>5479</v>
      </c>
      <c r="F16" s="98">
        <v>0</v>
      </c>
      <c r="G16" s="30">
        <f t="shared" si="2"/>
        <v>5479</v>
      </c>
      <c r="H16" s="47">
        <f t="shared" si="3"/>
        <v>0.87663999999999997</v>
      </c>
      <c r="I16" s="33">
        <v>5479</v>
      </c>
      <c r="J16" s="31" t="s">
        <v>44</v>
      </c>
    </row>
    <row r="17" spans="1:10" s="31" customFormat="1" ht="14">
      <c r="A17" s="32" t="s">
        <v>29</v>
      </c>
      <c r="B17" s="33">
        <v>1250</v>
      </c>
      <c r="C17" s="93">
        <v>0</v>
      </c>
      <c r="D17" s="98">
        <v>0</v>
      </c>
      <c r="E17" s="98">
        <v>1250</v>
      </c>
      <c r="F17" s="98">
        <v>0</v>
      </c>
      <c r="G17" s="30">
        <f t="shared" si="2"/>
        <v>1250</v>
      </c>
      <c r="H17" s="47">
        <f t="shared" si="3"/>
        <v>1</v>
      </c>
      <c r="I17" s="33">
        <v>1250</v>
      </c>
    </row>
    <row r="18" spans="1:10" s="31" customFormat="1" ht="14">
      <c r="A18" s="28" t="s">
        <v>15</v>
      </c>
      <c r="B18" s="34">
        <v>8000</v>
      </c>
      <c r="C18" s="93">
        <f>489.75+698.69+221.95-67.2</f>
        <v>1343.19</v>
      </c>
      <c r="D18" s="98">
        <v>1514.62</v>
      </c>
      <c r="E18" s="98">
        <v>1868.04</v>
      </c>
      <c r="F18" s="98"/>
      <c r="G18" s="30">
        <f t="shared" si="2"/>
        <v>4725.8500000000004</v>
      </c>
      <c r="H18" s="47">
        <f t="shared" si="3"/>
        <v>0.59073125000000004</v>
      </c>
      <c r="I18" s="33">
        <v>8000</v>
      </c>
    </row>
    <row r="19" spans="1:10" s="24" customFormat="1" ht="14">
      <c r="A19" s="3" t="s">
        <v>4</v>
      </c>
      <c r="B19" s="2">
        <v>200</v>
      </c>
      <c r="C19" s="90"/>
      <c r="D19" s="95">
        <f>87+75</f>
        <v>162</v>
      </c>
      <c r="E19" s="95">
        <f>74.59+12.84+8.45</f>
        <v>95.88000000000001</v>
      </c>
      <c r="F19" s="95"/>
      <c r="G19" s="25">
        <f t="shared" si="2"/>
        <v>257.88</v>
      </c>
      <c r="H19" s="46">
        <f t="shared" si="3"/>
        <v>1.2893999999999999</v>
      </c>
      <c r="I19" s="74">
        <v>200</v>
      </c>
    </row>
    <row r="20" spans="1:10" s="24" customFormat="1" ht="14">
      <c r="A20" s="3" t="s">
        <v>3</v>
      </c>
      <c r="B20" s="2">
        <v>525</v>
      </c>
      <c r="C20" s="90">
        <v>0</v>
      </c>
      <c r="D20" s="95">
        <v>525</v>
      </c>
      <c r="E20" s="95">
        <v>0</v>
      </c>
      <c r="F20" s="95">
        <v>0</v>
      </c>
      <c r="G20" s="25">
        <f t="shared" si="2"/>
        <v>525</v>
      </c>
      <c r="H20" s="46">
        <f t="shared" si="3"/>
        <v>1</v>
      </c>
      <c r="I20" s="74">
        <v>525</v>
      </c>
    </row>
    <row r="21" spans="1:10" s="24" customFormat="1" ht="14">
      <c r="A21" s="3" t="s">
        <v>2</v>
      </c>
      <c r="B21" s="15">
        <v>2464</v>
      </c>
      <c r="C21" s="90">
        <v>0</v>
      </c>
      <c r="D21" s="95">
        <v>0</v>
      </c>
      <c r="E21" s="95">
        <v>0</v>
      </c>
      <c r="F21" s="95">
        <v>0</v>
      </c>
      <c r="G21" s="40">
        <f>SUM(C21:F21)</f>
        <v>0</v>
      </c>
      <c r="H21" s="46">
        <f>SUM(G21)/B21</f>
        <v>0</v>
      </c>
      <c r="I21" s="74">
        <v>0</v>
      </c>
    </row>
    <row r="22" spans="1:10" s="24" customFormat="1" thickBot="1">
      <c r="A22" s="71" t="s">
        <v>58</v>
      </c>
      <c r="B22" s="71">
        <v>0</v>
      </c>
      <c r="C22" s="90">
        <v>0</v>
      </c>
      <c r="D22" s="95">
        <v>0</v>
      </c>
      <c r="E22" s="95">
        <v>0</v>
      </c>
      <c r="F22" s="17"/>
      <c r="G22" s="17">
        <f>SUM(C22:F22)</f>
        <v>0</v>
      </c>
      <c r="H22" s="46">
        <v>0</v>
      </c>
      <c r="I22" s="74">
        <v>3070</v>
      </c>
      <c r="J22" s="24" t="s">
        <v>77</v>
      </c>
    </row>
    <row r="23" spans="1:10" ht="15" thickBot="1">
      <c r="A23" s="7" t="s">
        <v>1</v>
      </c>
      <c r="B23" s="14">
        <f>SUM(B12:B21)</f>
        <v>128000</v>
      </c>
      <c r="C23" s="92">
        <f>SUM(C12:C22)</f>
        <v>21443.94</v>
      </c>
      <c r="D23" s="97">
        <f>SUM(D12:D21)</f>
        <v>25233.37</v>
      </c>
      <c r="E23" s="97">
        <f>SUM(E12:E21)</f>
        <v>44862.17</v>
      </c>
      <c r="F23" s="39"/>
      <c r="G23" s="39">
        <f>SUM(G12:G22)</f>
        <v>111138.23000000001</v>
      </c>
      <c r="H23" s="78">
        <f t="shared" si="3"/>
        <v>0.86826742187500006</v>
      </c>
      <c r="I23" s="12">
        <f>SUM(I12:I22)</f>
        <v>123253</v>
      </c>
    </row>
    <row r="24" spans="1:10" ht="15" thickBot="1">
      <c r="A24" s="8"/>
      <c r="B24" s="16"/>
      <c r="C24" s="38"/>
      <c r="D24" s="38"/>
      <c r="E24" s="82"/>
      <c r="F24" s="38"/>
      <c r="G24" s="23"/>
      <c r="H24" s="82"/>
      <c r="I24" s="79"/>
    </row>
    <row r="25" spans="1:10" ht="15" thickBot="1">
      <c r="A25" s="7" t="s">
        <v>0</v>
      </c>
      <c r="B25" s="14">
        <f>SUM(B10-B23)</f>
        <v>0</v>
      </c>
      <c r="C25" s="39">
        <f>SUM(C10-C23)</f>
        <v>-11443.939999999999</v>
      </c>
      <c r="D25" s="39">
        <f>SUM(D10-D23)</f>
        <v>66266.63</v>
      </c>
      <c r="E25" s="39">
        <f>SUM(E10-E23)</f>
        <v>-18362.169999999998</v>
      </c>
      <c r="F25" s="39"/>
      <c r="G25" s="44">
        <f>G10-G23</f>
        <v>16861.76999999999</v>
      </c>
      <c r="H25" s="39"/>
      <c r="I25" s="77">
        <f>SUM(I10-I23)</f>
        <v>4747</v>
      </c>
    </row>
    <row r="26" spans="1:10" ht="15" thickBot="1">
      <c r="A26" s="17"/>
      <c r="B26" s="18"/>
      <c r="C26" s="38"/>
      <c r="D26" s="38"/>
      <c r="E26" s="38"/>
      <c r="F26" s="38"/>
      <c r="G26" s="23"/>
      <c r="H26" s="38"/>
      <c r="I26" s="79"/>
    </row>
    <row r="27" spans="1:10" ht="15" thickBot="1">
      <c r="A27" s="9" t="s">
        <v>14</v>
      </c>
      <c r="B27" s="35">
        <v>16895</v>
      </c>
      <c r="C27" s="35">
        <v>16895</v>
      </c>
      <c r="D27" s="35">
        <v>16895</v>
      </c>
      <c r="E27" s="35">
        <v>16895</v>
      </c>
      <c r="F27" s="35">
        <v>16895</v>
      </c>
      <c r="G27" s="35">
        <v>16895</v>
      </c>
      <c r="H27" s="42"/>
      <c r="I27" s="42">
        <v>27923</v>
      </c>
    </row>
    <row r="28" spans="1:10" ht="15" thickBot="1">
      <c r="A28" s="17"/>
      <c r="B28" s="18"/>
      <c r="C28" s="38"/>
      <c r="D28" s="38"/>
      <c r="E28" s="38"/>
      <c r="F28" s="38"/>
      <c r="G28" s="23"/>
      <c r="H28" s="38"/>
      <c r="I28" s="79"/>
    </row>
    <row r="29" spans="1:10" ht="15" thickBot="1">
      <c r="A29" s="10" t="s">
        <v>13</v>
      </c>
      <c r="B29" s="19">
        <f>SUM(B25+B27)</f>
        <v>16895</v>
      </c>
      <c r="C29" s="19">
        <f>C27+C25</f>
        <v>5451.0600000000013</v>
      </c>
      <c r="D29" s="19">
        <f>D27+D25</f>
        <v>83161.63</v>
      </c>
      <c r="E29" s="19">
        <f>E27+E25</f>
        <v>-1467.1699999999983</v>
      </c>
      <c r="F29" s="19"/>
      <c r="G29" s="45">
        <f>G27+G25</f>
        <v>33756.76999999999</v>
      </c>
      <c r="H29" s="19"/>
      <c r="I29" s="19">
        <f>SUM(I25+I27)</f>
        <v>32670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7" zoomScale="90" zoomScaleNormal="90" workbookViewId="0">
      <selection activeCell="H17" sqref="H17"/>
    </sheetView>
  </sheetViews>
  <sheetFormatPr defaultRowHeight="14.5"/>
  <cols>
    <col min="1" max="1" width="4" customWidth="1"/>
    <col min="2" max="2" width="21.453125" customWidth="1"/>
    <col min="3" max="3" width="54" customWidth="1"/>
    <col min="4" max="4" width="9.81640625" bestFit="1" customWidth="1"/>
    <col min="5" max="5" width="11.26953125" customWidth="1"/>
    <col min="6" max="6" width="15" customWidth="1"/>
  </cols>
  <sheetData>
    <row r="1" spans="1:8" ht="15" thickBot="1">
      <c r="A1" s="85"/>
      <c r="B1" s="86" t="s">
        <v>27</v>
      </c>
      <c r="C1" s="86" t="s">
        <v>40</v>
      </c>
      <c r="D1" s="87" t="s">
        <v>28</v>
      </c>
    </row>
    <row r="2" spans="1:8" s="56" customFormat="1">
      <c r="A2" s="53" t="s">
        <v>20</v>
      </c>
      <c r="B2" s="54"/>
      <c r="C2" s="54"/>
      <c r="D2" s="55"/>
    </row>
    <row r="3" spans="1:8" s="56" customFormat="1">
      <c r="A3" s="53"/>
      <c r="B3" s="57" t="s">
        <v>26</v>
      </c>
      <c r="C3" s="58" t="s">
        <v>61</v>
      </c>
      <c r="D3" s="59">
        <v>102</v>
      </c>
    </row>
    <row r="4" spans="1:8" s="56" customFormat="1">
      <c r="A4" s="53" t="s">
        <v>21</v>
      </c>
      <c r="B4" s="57"/>
      <c r="C4" s="60"/>
      <c r="D4" s="61"/>
    </row>
    <row r="5" spans="1:8" s="56" customFormat="1">
      <c r="A5" s="53"/>
      <c r="B5" s="57" t="s">
        <v>26</v>
      </c>
      <c r="C5" s="58" t="s">
        <v>34</v>
      </c>
      <c r="D5" s="62">
        <v>50</v>
      </c>
    </row>
    <row r="6" spans="1:8" s="56" customFormat="1">
      <c r="A6" s="53"/>
      <c r="B6" s="57" t="s">
        <v>32</v>
      </c>
      <c r="C6" s="58" t="s">
        <v>33</v>
      </c>
      <c r="D6" s="62">
        <f>750+35</f>
        <v>785</v>
      </c>
      <c r="H6" s="63"/>
    </row>
    <row r="7" spans="1:8" s="56" customFormat="1">
      <c r="A7" s="53"/>
      <c r="B7" s="57" t="s">
        <v>32</v>
      </c>
      <c r="C7" s="58" t="s">
        <v>35</v>
      </c>
      <c r="D7" s="59">
        <v>600</v>
      </c>
      <c r="H7" s="63"/>
    </row>
    <row r="8" spans="1:8" s="56" customFormat="1">
      <c r="A8" s="53"/>
      <c r="B8" s="57" t="s">
        <v>31</v>
      </c>
      <c r="C8" s="60" t="s">
        <v>36</v>
      </c>
      <c r="D8" s="61">
        <v>1998</v>
      </c>
      <c r="H8" s="63"/>
    </row>
    <row r="9" spans="1:8" s="56" customFormat="1">
      <c r="A9" s="53"/>
      <c r="B9" s="57"/>
      <c r="C9" s="60"/>
      <c r="D9" s="61"/>
      <c r="H9" s="63"/>
    </row>
    <row r="10" spans="1:8" s="56" customFormat="1">
      <c r="A10" s="53" t="s">
        <v>42</v>
      </c>
      <c r="B10" s="57" t="s">
        <v>43</v>
      </c>
      <c r="C10" s="64" t="s">
        <v>60</v>
      </c>
      <c r="D10" s="61">
        <v>302</v>
      </c>
      <c r="H10" s="63"/>
    </row>
    <row r="11" spans="1:8" s="56" customFormat="1" ht="15" thickBot="1">
      <c r="A11" s="53"/>
      <c r="B11" s="57"/>
      <c r="C11" s="60"/>
      <c r="D11" s="61"/>
      <c r="H11" s="63"/>
    </row>
    <row r="12" spans="1:8" s="56" customFormat="1" ht="15" thickBot="1">
      <c r="A12" s="104" t="s">
        <v>54</v>
      </c>
      <c r="B12" s="105"/>
      <c r="C12" s="105"/>
      <c r="D12" s="84">
        <f>SUM(D3:D11)</f>
        <v>3837</v>
      </c>
      <c r="H12" s="63"/>
    </row>
    <row r="13" spans="1:8" s="56" customFormat="1" ht="15" thickBot="1">
      <c r="A13" s="65"/>
      <c r="B13" s="66"/>
      <c r="C13" s="66"/>
      <c r="D13" s="61"/>
      <c r="H13" s="63"/>
    </row>
    <row r="14" spans="1:8" ht="15" thickBot="1">
      <c r="A14" s="50"/>
      <c r="B14" s="106" t="s">
        <v>48</v>
      </c>
      <c r="C14" s="107"/>
      <c r="D14" s="108"/>
    </row>
    <row r="15" spans="1:8">
      <c r="A15" s="50"/>
      <c r="B15" s="23" t="s">
        <v>26</v>
      </c>
      <c r="C15" s="23" t="s">
        <v>38</v>
      </c>
      <c r="D15" s="49">
        <v>300</v>
      </c>
    </row>
    <row r="16" spans="1:8">
      <c r="A16" s="50"/>
      <c r="B16" s="23" t="s">
        <v>39</v>
      </c>
      <c r="C16" s="23" t="s">
        <v>56</v>
      </c>
      <c r="D16" s="49">
        <v>150</v>
      </c>
    </row>
    <row r="17" spans="1:5">
      <c r="A17" s="50"/>
      <c r="B17" s="23" t="s">
        <v>52</v>
      </c>
      <c r="C17" s="23" t="s">
        <v>53</v>
      </c>
      <c r="D17" s="49">
        <v>0</v>
      </c>
    </row>
    <row r="18" spans="1:5">
      <c r="A18" s="50"/>
      <c r="B18" s="23" t="s">
        <v>50</v>
      </c>
      <c r="C18" s="23" t="s">
        <v>51</v>
      </c>
      <c r="D18" s="49">
        <v>455</v>
      </c>
      <c r="E18" t="s">
        <v>37</v>
      </c>
    </row>
    <row r="19" spans="1:5">
      <c r="A19" s="50"/>
      <c r="B19" s="57" t="s">
        <v>49</v>
      </c>
      <c r="C19" s="57" t="s">
        <v>45</v>
      </c>
      <c r="D19" s="49">
        <v>100</v>
      </c>
    </row>
    <row r="20" spans="1:5">
      <c r="A20" s="50"/>
      <c r="B20" s="57" t="s">
        <v>46</v>
      </c>
      <c r="C20" s="57" t="s">
        <v>47</v>
      </c>
      <c r="D20" s="49">
        <v>1998</v>
      </c>
      <c r="E20" t="s">
        <v>75</v>
      </c>
    </row>
    <row r="21" spans="1:5" ht="15" thickBot="1">
      <c r="A21" s="50"/>
      <c r="B21" s="57"/>
      <c r="C21" s="57"/>
      <c r="D21" s="49"/>
    </row>
    <row r="22" spans="1:5" ht="15" thickBot="1">
      <c r="A22" s="50"/>
      <c r="B22" s="68" t="s">
        <v>55</v>
      </c>
      <c r="C22" s="69"/>
      <c r="D22" s="27">
        <f>SUM(D15:D21)</f>
        <v>3003</v>
      </c>
    </row>
    <row r="23" spans="1:5" ht="15" thickBot="1">
      <c r="A23" s="67"/>
      <c r="B23" s="57"/>
      <c r="C23" s="48"/>
      <c r="D23" s="49"/>
    </row>
    <row r="24" spans="1:5" ht="15" thickBot="1">
      <c r="A24" s="104" t="s">
        <v>41</v>
      </c>
      <c r="B24" s="105"/>
      <c r="C24" s="105"/>
      <c r="D24" s="70">
        <f>SUM(D12+D22)</f>
        <v>6840</v>
      </c>
    </row>
  </sheetData>
  <mergeCells count="3">
    <mergeCell ref="A24:C24"/>
    <mergeCell ref="A12:C12"/>
    <mergeCell ref="B14:D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7" zoomScale="90" zoomScaleNormal="90" workbookViewId="0">
      <selection activeCell="G31" sqref="G31"/>
    </sheetView>
  </sheetViews>
  <sheetFormatPr defaultRowHeight="14.5"/>
  <cols>
    <col min="1" max="1" width="56.6328125" customWidth="1"/>
    <col min="2" max="2" width="13.6328125" customWidth="1"/>
    <col min="3" max="3" width="52.7265625" customWidth="1"/>
  </cols>
  <sheetData>
    <row r="1" spans="1:3" ht="15" thickBot="1">
      <c r="A1" s="100" t="s">
        <v>62</v>
      </c>
      <c r="B1" s="101"/>
      <c r="C1" s="24"/>
    </row>
    <row r="2" spans="1:3" ht="15" thickBot="1">
      <c r="A2" s="102"/>
      <c r="B2" s="103"/>
      <c r="C2" s="24"/>
    </row>
    <row r="3" spans="1:3" ht="15" thickBot="1">
      <c r="A3" s="11" t="s">
        <v>10</v>
      </c>
      <c r="B3" s="83" t="s">
        <v>72</v>
      </c>
      <c r="C3" s="24"/>
    </row>
    <row r="4" spans="1:3">
      <c r="A4" s="1" t="s">
        <v>9</v>
      </c>
      <c r="B4" s="13"/>
      <c r="C4" s="24"/>
    </row>
    <row r="5" spans="1:3">
      <c r="A5" s="3" t="s">
        <v>19</v>
      </c>
      <c r="B5" s="2">
        <v>120000</v>
      </c>
      <c r="C5" s="24" t="s">
        <v>69</v>
      </c>
    </row>
    <row r="6" spans="1:3">
      <c r="A6" s="3" t="s">
        <v>12</v>
      </c>
      <c r="B6" s="2">
        <v>5000</v>
      </c>
      <c r="C6" s="24"/>
    </row>
    <row r="7" spans="1:3">
      <c r="A7" s="3" t="s">
        <v>65</v>
      </c>
      <c r="B7" s="2">
        <f>SUM(750*6)</f>
        <v>4500</v>
      </c>
      <c r="C7" s="24"/>
    </row>
    <row r="8" spans="1:3">
      <c r="A8" s="3" t="s">
        <v>16</v>
      </c>
      <c r="B8" s="2">
        <v>0</v>
      </c>
      <c r="C8" s="24"/>
    </row>
    <row r="9" spans="1:3" ht="15" thickBot="1">
      <c r="A9" s="4"/>
      <c r="B9" s="2"/>
      <c r="C9" s="24"/>
    </row>
    <row r="10" spans="1:3" ht="15" thickBot="1">
      <c r="A10" s="5" t="s">
        <v>8</v>
      </c>
      <c r="B10" s="14">
        <f>SUM(B5:B9)</f>
        <v>129500</v>
      </c>
      <c r="C10" s="24"/>
    </row>
    <row r="11" spans="1:3">
      <c r="A11" s="1" t="s">
        <v>7</v>
      </c>
      <c r="B11" s="2"/>
      <c r="C11" s="24"/>
    </row>
    <row r="12" spans="1:3">
      <c r="A12" s="3" t="s">
        <v>6</v>
      </c>
      <c r="B12" s="15">
        <v>78395</v>
      </c>
      <c r="C12" s="24" t="s">
        <v>71</v>
      </c>
    </row>
    <row r="13" spans="1:3">
      <c r="A13" s="3" t="s">
        <v>11</v>
      </c>
      <c r="B13" s="20">
        <v>18000</v>
      </c>
      <c r="C13" s="24" t="s">
        <v>70</v>
      </c>
    </row>
    <row r="14" spans="1:3">
      <c r="A14" s="28" t="s">
        <v>66</v>
      </c>
      <c r="B14" s="34">
        <v>30000</v>
      </c>
      <c r="C14" s="24"/>
    </row>
    <row r="15" spans="1:3">
      <c r="A15" s="32" t="s">
        <v>64</v>
      </c>
      <c r="B15" s="33">
        <v>11250</v>
      </c>
      <c r="C15" s="24"/>
    </row>
    <row r="16" spans="1:3">
      <c r="A16" s="28" t="s">
        <v>15</v>
      </c>
      <c r="B16" s="34">
        <v>8000</v>
      </c>
      <c r="C16" s="24"/>
    </row>
    <row r="17" spans="1:3">
      <c r="A17" s="6" t="s">
        <v>5</v>
      </c>
      <c r="B17" s="21">
        <v>400</v>
      </c>
      <c r="C17" s="24"/>
    </row>
    <row r="18" spans="1:3">
      <c r="A18" s="3" t="s">
        <v>4</v>
      </c>
      <c r="B18" s="2">
        <v>300</v>
      </c>
      <c r="C18" s="24"/>
    </row>
    <row r="19" spans="1:3">
      <c r="A19" s="3" t="s">
        <v>3</v>
      </c>
      <c r="B19" s="2">
        <v>525</v>
      </c>
      <c r="C19" s="24"/>
    </row>
    <row r="20" spans="1:3">
      <c r="A20" s="3" t="s">
        <v>2</v>
      </c>
      <c r="B20" s="89">
        <v>2500</v>
      </c>
      <c r="C20" s="24"/>
    </row>
    <row r="21" spans="1:3" ht="15" thickBot="1">
      <c r="A21" s="3" t="s">
        <v>68</v>
      </c>
      <c r="B21" s="89">
        <v>0</v>
      </c>
      <c r="C21" s="24"/>
    </row>
    <row r="22" spans="1:3" ht="15" thickBot="1">
      <c r="A22" s="7" t="s">
        <v>1</v>
      </c>
      <c r="B22" s="14">
        <f>SUM(B12:B21)</f>
        <v>149370</v>
      </c>
      <c r="C22" s="24"/>
    </row>
    <row r="23" spans="1:3" ht="15" thickBot="1">
      <c r="A23" s="8"/>
      <c r="B23" s="16"/>
      <c r="C23" s="24"/>
    </row>
    <row r="24" spans="1:3" ht="15" thickBot="1">
      <c r="A24" s="7" t="s">
        <v>0</v>
      </c>
      <c r="B24" s="14">
        <f>SUM(B10-B22)</f>
        <v>-19870</v>
      </c>
      <c r="C24" s="24"/>
    </row>
    <row r="25" spans="1:3" ht="15" thickBot="1">
      <c r="A25" s="17"/>
      <c r="B25" s="18"/>
      <c r="C25" s="24"/>
    </row>
    <row r="26" spans="1:3" ht="15" thickBot="1">
      <c r="A26" s="9" t="s">
        <v>14</v>
      </c>
      <c r="B26" s="42">
        <v>32670</v>
      </c>
      <c r="C26" s="24" t="s">
        <v>67</v>
      </c>
    </row>
    <row r="27" spans="1:3" ht="15" thickBot="1">
      <c r="A27" s="17"/>
      <c r="B27" s="88"/>
      <c r="C27" s="24"/>
    </row>
    <row r="28" spans="1:3" ht="15" thickBot="1">
      <c r="A28" s="10" t="s">
        <v>13</v>
      </c>
      <c r="B28" s="19">
        <f>SUM(B24+B26)</f>
        <v>12800</v>
      </c>
      <c r="C28" s="24"/>
    </row>
    <row r="29" spans="1:3">
      <c r="C29" s="24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 Budget</vt:lpstr>
      <vt:lpstr>Communication costs 2019 </vt:lpstr>
      <vt:lpstr>Draft 2020 Budget</vt:lpstr>
    </vt:vector>
  </TitlesOfParts>
  <Company>Kellen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cp:lastPrinted>2019-07-23T10:02:35Z</cp:lastPrinted>
  <dcterms:created xsi:type="dcterms:W3CDTF">2016-03-30T12:03:39Z</dcterms:created>
  <dcterms:modified xsi:type="dcterms:W3CDTF">2019-10-21T14:20:40Z</dcterms:modified>
</cp:coreProperties>
</file>